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850A4340-F181-41D7-82A9-BEBC878A739A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<sst xmlns="http://schemas.openxmlformats.org/spreadsheetml/2006/main" count="284" uniqueCount="199">
  <si>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</si>
  <si>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</si>
  <si>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</si>
  <si>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</si>
  <si>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</si>
  <si>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</si>
  <si>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</si>
  <si>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</si>
  <si>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</si>
  <si>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</si>
  <si>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</si>
  <si>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</si>
  <si>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</si>
  <si>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</si>
  <si>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</si>
  <si>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</si>
  <si>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</si>
  <si>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</si>
  <si>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</si>
  <si>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</si>
  <si>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</si>
  <si>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</si>
  <si>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</si>
  <si>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</si>
  <si>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</si>
  <si>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</si>
  <si>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</si>
  <si>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</si>
  <si>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</si>
  <si>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</si>
  <si>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</si>
  <si>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</si>
  <si>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</si>
  <si>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</si>
  <si>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</si>
  <si>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</si>
  <si>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</si>
  <si>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</si>
  <si>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</si>
  <si>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</si>
  <si>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</si>
  <si>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</si>
  <si>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</si>
  <si>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</si>
  <si>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</si>
  <si>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</si>
  <si>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</si>
  <si>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</si>
  <si>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</si>
  <si>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</si>
  <si>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</si>
  <si>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</si>
  <si>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</si>
  <si>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</si>
  <si>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</si>
  <si>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</si>
  <si>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</si>
  <si>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</si>
  <si>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</si>
  <si>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</si>
  <si>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</si>
  <si>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</si>
  <si>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</si>
  <si>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</si>
  <si>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</si>
  <si>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</si>
  <si>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</si>
  <si>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</si>
  <si>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</si>
  <si>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</si>
  <si>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</si>
  <si>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</si>
  <si>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</si>
  <si>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</si>
  <si>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</si>
  <si>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</si>
  <si>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</si>
  <si>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</si>
  <si>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</si>
  <si>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</si>
  <si>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</si>
  <si>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</si>
  <si>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</si>
  <si>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</si>
  <si>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</si>
  <si>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</si>
  <si>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</si>
  <si>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</si>
  <si>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</si>
  <si>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</si>
  <si>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</si>
  <si>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</si>
  <si>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</si>
  <si>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</si>
  <si>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</si>
  <si>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</si>
  <si>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</si>
  <si>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</si>
  <si>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</si>
  <si>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</si>
  <si>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</si>
  <si>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</si>
  <si>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</si>
  <si>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</si>
  <si>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</si>
  <si>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</si>
  <si>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</si>
  <si>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</si>
  <si>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</si>
  <si>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</si>
  <si>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</si>
  <si>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</si>
  <si>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</si>
  <si>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</si>
  <si>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</si>
  <si>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</si>
  <si>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</si>
  <si>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</si>
  <si>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</si>
  <si>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</si>
  <si>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</si>
  <si>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</si>
  <si>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</si>
  <si>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</si>
  <si>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</si>
  <si>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</si>
  <si>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</si>
  <si>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</si>
  <si>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</si>
  <si>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</si>
  <si>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</si>
  <si>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</si>
  <si>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</si>
  <si>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</si>
  <si>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</si>
  <si>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</si>
  <si>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</si>
  <si>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</si>
  <si>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</si>
  <si>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</si>
  <si>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</si>
  <si>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</si>
  <si>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</si>
  <si>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</si>
  <si>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</si>
  <si>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</si>
  <si>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</si>
  <si>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</si>
  <si>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</si>
  <si>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</si>
  <si>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</si>
  <si>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</si>
  <si>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</si>
  <si>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</si>
  <si>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</si>
  <si>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</si>
  <si>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</si>
  <si>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</si>
  <si>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</si>
  <si>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</si>
  <si>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</si>
  <si>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</si>
  <si>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</si>
  <si>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</si>
  <si>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</si>
  <si>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</si>
  <si>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</si>
  <si>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</si>
  <si>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</si>
  <si>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</si>
  <si>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</si>
  <si>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</si>
  <si>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</si>
  <si>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</si>
  <si>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</si>
  <si>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</si>
  <si>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</si>
  <si>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</si>
  <si>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</si>
  <si>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</si>
  <si>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</si>
  <si>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</si>
  <si>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</si>
  <si>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</si>
  <si>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</si>
  <si>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</si>
  <si>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</si>
  <si>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</si>
  <si>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</si>
  <si>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</si>
  <si>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</si>
  <si>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Moosach</t>
  </si>
  <si>
    <t>Stand: 15.02.2023</t>
  </si>
  <si>
    <t>Die Gemeinde Moosach setzt sich folgende Ziele:</t>
  </si>
  <si>
    <t>Altenburg</t>
  </si>
  <si>
    <t>Berghofen</t>
  </si>
  <si>
    <t>Fürmoosen</t>
  </si>
  <si>
    <t>Falkenberg</t>
  </si>
  <si>
    <t>Moosach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</si>
</sst>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7844.15</c:v>
                </c:pt>
                <c:pt idx="1">
                  <c:v>7094.3730213040681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6726.65</c:v>
                </c:pt>
                <c:pt idx="1">
                  <c:v>9015.2968385078329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302.70999999999998</c:v>
                </c:pt>
                <c:pt idx="1">
                  <c:v>333.1563621233509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7313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7561</c:v>
                </c:pt>
                <c:pt idx="1">
                  <c:v>16442.826221935251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14874</c:v>
                </c:pt>
                <c:pt idx="1">
                  <c:v>16442.826221935251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1916.39</c:v>
                </c:pt>
                <c:pt idx="1">
                  <c:v>1566.5635947473031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1220.54</c:v>
                </c:pt>
                <c:pt idx="1">
                  <c:v>1369.0882823927527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145.83000000000001</c:v>
                </c:pt>
                <c:pt idx="1">
                  <c:v>99.827226342133102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3513.635761589404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2874</c:v>
                </c:pt>
                <c:pt idx="1">
                  <c:v>2874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419.51000000000022</c:v>
                </c:pt>
                <c:pt idx="1">
                  <c:v>3675.1148650715932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3293.51</c:v>
                </c:pt>
                <c:pt idx="1">
                  <c:v>6549.1148650715932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735.02297301431861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3946.2782932644604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16.443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14.874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11 %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16442.826221935251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16442.826221935251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16442.826221935251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7844.15</v>
      </c>
      <c r="E78" s="177">
        <f>LOOKUP('Basis-Annahmen'!E5,'Nachfrage &amp; Erzeugung'!D36:G36,'Nachfrage &amp; Erzeugung'!D38:G38)</f>
        <v>7094.3730213040681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6726.65</v>
      </c>
      <c r="E79" s="177">
        <f>LOOKUP('Basis-Annahmen'!E5,'Nachfrage &amp; Erzeugung'!D36:G36,'Nachfrage &amp; Erzeugung'!D39:G39)</f>
        <v>9015.2968385078329</v>
      </c>
      <c r="F79" s="175"/>
      <c r="G79" s="176" t="s">
        <v>55</v>
      </c>
      <c r="H79" s="177">
        <f>'Nachfrage &amp; Erzeugung'!C46</f>
        <v>7313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302.70999999999998</v>
      </c>
      <c r="E80" s="177">
        <f>LOOKUP('Basis-Annahmen'!E5,'Nachfrage &amp; Erzeugung'!D36:G36,'Nachfrage &amp; Erzeugung'!D40:G40)</f>
        <v>333.1563621233509</v>
      </c>
      <c r="F80" s="175"/>
      <c r="G80" s="176" t="str">
        <f>'Nachfrage &amp; Erzeugung'!B47</f>
        <v>Nicht erneuerbare Wärmeerzeugung</v>
      </c>
      <c r="H80" s="177">
        <f>MAX(0,H82-H79)</f>
        <v>7561</v>
      </c>
      <c r="I80" s="177">
        <f>MAX(0,I82-I79)</f>
        <v>16442.826221935251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14874</v>
      </c>
      <c r="E82" s="177">
        <f>LOOKUP('Basis-Annahmen'!E5,'Nachfrage &amp; Erzeugung'!D36:G36,'Nachfrage &amp; Erzeugung'!D37:G37)</f>
        <v>16442.826221935251</v>
      </c>
      <c r="F82" s="175"/>
      <c r="G82" s="176" t="s">
        <v>82</v>
      </c>
      <c r="H82" s="177">
        <f>'Nachfrage &amp; Erzeugung'!C37</f>
        <v>14874</v>
      </c>
      <c r="I82" s="177">
        <f>LOOKUP('Basis-Annahmen'!E5,'Nachfrage &amp; Erzeugung'!D36:G36,'Nachfrage &amp; Erzeugung'!D37:G37)</f>
        <v>16442.826221935251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0.10547439975361375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6.549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99 %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54 %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153000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8695.0499999999993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5446.5120000000006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2874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2874</v>
      </c>
      <c r="G32" s="256"/>
      <c r="H32" s="248">
        <f>SUM(H27:H31)</f>
        <v>167141.56199999998</v>
      </c>
      <c r="I32" s="248"/>
      <c r="J32" s="245">
        <f>IF(H32&gt;0,F32/H32,0)</f>
        <v>1.7195005034115935E-2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1916.39</v>
      </c>
      <c r="E76" s="186">
        <f>LOOKUP('Basis-Annahmen'!E5,'Nachfrage &amp; Erzeugung'!D9:G9,'Nachfrage &amp; Erzeugung'!D11:G11)</f>
        <v>1566.5635947473031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1220.54</v>
      </c>
      <c r="E77" s="186">
        <f>LOOKUP('Basis-Annahmen'!E5,'Nachfrage &amp; Erzeugung'!D9:G9,'Nachfrage &amp; Erzeugung'!D12:G12)</f>
        <v>1369.0882823927527</v>
      </c>
      <c r="F77" s="175"/>
      <c r="G77" s="176" t="s">
        <v>103</v>
      </c>
      <c r="H77" s="186">
        <f>'Nachfrage &amp; Erzeugung'!C21</f>
        <v>2874</v>
      </c>
      <c r="I77" s="186">
        <f>F31</f>
        <v>2874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145.83000000000001</v>
      </c>
      <c r="E78" s="186">
        <f>LOOKUP('Basis-Annahmen'!E5,'Nachfrage &amp; Erzeugung'!D9:G9,'Nachfrage &amp; Erzeugung'!D13:G13)</f>
        <v>99.827226342133102</v>
      </c>
      <c r="F78" s="175"/>
      <c r="G78" s="176" t="str">
        <f>'Nachfrage &amp; Erzeugung'!B29</f>
        <v>Nicht aus lokalen EE gedeckter Strombedarf</v>
      </c>
      <c r="H78" s="186">
        <f>'Nachfrage &amp; Erzeugung'!C29</f>
        <v>419.51000000000022</v>
      </c>
      <c r="I78" s="186">
        <f>MAX(0,E82-SUM(I79:I82)-I77)</f>
        <v>3675.1148650715932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3513.635761589404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3293.51</v>
      </c>
      <c r="E82" s="186">
        <f>LOOKUP('Basis-Annahmen'!E5,'Nachfrage &amp; Erzeugung'!D9:G9,'Nachfrage &amp; Erzeugung'!D10:G10)</f>
        <v>6549.1148650715932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0.98849096103293832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0.53650544141906631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1670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3675.1148650715932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735.02297301431861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0.44013351677504109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16442.826221935251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3946.2782932644604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2.3630408941703358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1.3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4681.3012662787787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2.8031744109453767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735.02297301431861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3946.2782932644604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1.3220018885741265E-2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1.4164305949008499E-2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1510</v>
      </c>
      <c r="F34" s="69">
        <v>1550</v>
      </c>
      <c r="G34" s="69">
        <v>1590</v>
      </c>
      <c r="H34" s="69">
        <v>1630</v>
      </c>
      <c r="I34" s="70">
        <v>1670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2.6490066225165563E-2</v>
      </c>
      <c r="G36" s="67">
        <f>(G34-F34)/F34</f>
        <v>2.5806451612903226E-2</v>
      </c>
      <c r="H36" s="67">
        <f>(H34-G34)/G34</f>
        <v>2.5157232704402517E-2</v>
      </c>
      <c r="I36" s="68">
        <f>(I34-H34)/H34</f>
        <v>2.4539877300613498E-2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49.522918011620398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0.70132450331125828</v>
      </c>
      <c r="F44" s="73">
        <f>E44*(1+(F13*(F43-E43)))</f>
        <v>0.70132450331125828</v>
      </c>
      <c r="G44" s="73">
        <f t="shared" ref="G44:I44" si="0">F44*(1+(G13*(G43-F43)))</f>
        <v>0.70132450331125828</v>
      </c>
      <c r="H44" s="73">
        <f t="shared" si="0"/>
        <v>0.70132450331125828</v>
      </c>
      <c r="I44" s="190">
        <f t="shared" si="0"/>
        <v>0.70132450331125828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1059</v>
      </c>
      <c r="F45" s="36">
        <f>F44*F34</f>
        <v>1087.0529801324503</v>
      </c>
      <c r="G45" s="36">
        <f t="shared" ref="G45:I45" si="1">G44*G34</f>
        <v>1115.1059602649007</v>
      </c>
      <c r="H45" s="36">
        <f t="shared" si="1"/>
        <v>1143.158940397351</v>
      </c>
      <c r="I45" s="74">
        <f t="shared" si="1"/>
        <v>1171.2119205298013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14</v>
      </c>
      <c r="F46" s="36">
        <f>F$45*F$14</f>
        <v>54.352649006622521</v>
      </c>
      <c r="G46" s="36">
        <f>G$45*G$14</f>
        <v>334.53178807947018</v>
      </c>
      <c r="H46" s="36">
        <f>H$45*H$14</f>
        <v>685.89536423841059</v>
      </c>
      <c r="I46" s="74">
        <f>I$45*I$14</f>
        <v>1171.2119205298013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15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3293.51</v>
      </c>
      <c r="D10" s="94">
        <f>D11+D12+D13+D14+D15</f>
        <v>3298.1166873614484</v>
      </c>
      <c r="E10" s="94">
        <f>E11+E12+E13+E14+D15</f>
        <v>4098.6066674340691</v>
      </c>
      <c r="F10" s="94">
        <f>F11+F12+F13+F14+D15</f>
        <v>5119.4768190923605</v>
      </c>
      <c r="G10" s="95">
        <f>G11+G12+G13+G14+D15</f>
        <v>6549.1148650715932</v>
      </c>
      <c r="H10" s="14"/>
    </row>
    <row r="11" spans="1:8" ht="19.5" customHeight="1" x14ac:dyDescent="0.2">
      <c r="B11" s="88" t="s">
        <v>6</v>
      </c>
      <c r="C11" s="96">
        <v>1916.39</v>
      </c>
      <c r="D11" s="97">
        <f>C11/'Basis-Annahmen'!E34*((1-'Basis-Annahmen'!F19)^(D9-C9))*'Basis-Annahmen'!F34</f>
        <v>1823.9788550338499</v>
      </c>
      <c r="E11" s="97">
        <f>D11/'Basis-Annahmen'!F34*((1-'Basis-Annahmen'!G19)^5)*'Basis-Annahmen'!G34</f>
        <v>1734.8677664656882</v>
      </c>
      <c r="F11" s="97">
        <f>E11/'Basis-Annahmen'!G34*((1-'Basis-Annahmen'!H19)^5)*'Basis-Annahmen'!H34</f>
        <v>1649.0658972687813</v>
      </c>
      <c r="G11" s="98">
        <f>F11/'Basis-Annahmen'!H34*((1-'Basis-Annahmen'!I19)^5)*'Basis-Annahmen'!I34</f>
        <v>1566.5635947473031</v>
      </c>
      <c r="H11" s="14"/>
    </row>
    <row r="12" spans="1:8" ht="19.5" customHeight="1" x14ac:dyDescent="0.2">
      <c r="B12" s="88" t="s">
        <v>104</v>
      </c>
      <c r="C12" s="96">
        <v>1220.54</v>
      </c>
      <c r="D12" s="97">
        <f>((1-'Basis-Annahmen'!F20)^(D9-C9))*((1+'Basis-Annahmen'!F9)^(D9-C9))*C12</f>
        <v>1185.8507023399</v>
      </c>
      <c r="E12" s="97">
        <f>((1-'Basis-Annahmen'!G20)^5)*((1+'Basis-Annahmen'!G9)^5)*D12</f>
        <v>1244.0289717044332</v>
      </c>
      <c r="F12" s="97">
        <f>((1-'Basis-Annahmen'!H20)^5)*((1+'Basis-Annahmen'!H9)^5)*E12</f>
        <v>1305.0614882516627</v>
      </c>
      <c r="G12" s="98">
        <f>((1-'Basis-Annahmen'!I20)^5)*((1+'Basis-Annahmen'!I9)^5)*F12</f>
        <v>1369.0882823927527</v>
      </c>
      <c r="H12" s="14"/>
    </row>
    <row r="13" spans="1:8" ht="19.5" customHeight="1" x14ac:dyDescent="0.2">
      <c r="B13" s="88" t="s">
        <v>7</v>
      </c>
      <c r="C13" s="96">
        <v>145.83000000000001</v>
      </c>
      <c r="D13" s="97">
        <f>C13*((1-'Basis-Annahmen'!F20)^(D9-C9))</f>
        <v>125.22918296783099</v>
      </c>
      <c r="E13" s="97">
        <f>D13*((1-'Basis-Annahmen'!G20)^5)</f>
        <v>116.11456502553716</v>
      </c>
      <c r="F13" s="97">
        <f>E13*((1-'Basis-Annahmen'!H20)^5)</f>
        <v>107.6633408566845</v>
      </c>
      <c r="G13" s="98">
        <f>F13*((1-'Basis-Annahmen'!I20)^5)</f>
        <v>99.827226342133102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163.05794701986756</v>
      </c>
      <c r="E14" s="97">
        <f>'Basis-Annahmen'!G46*'Basis-Annahmen'!G51+'Basis-Annahmen'!G47*'Basis-Annahmen'!G52</f>
        <v>1003.5953642384105</v>
      </c>
      <c r="F14" s="97">
        <f>'Basis-Annahmen'!H46*'Basis-Annahmen'!H51+'Basis-Annahmen'!H47*'Basis-Annahmen'!H52</f>
        <v>2057.686092715232</v>
      </c>
      <c r="G14" s="98">
        <f>'Basis-Annahmen'!I46*'Basis-Annahmen'!I51+'Basis-Annahmen'!I47*'Basis-Annahmen'!I52</f>
        <v>3513.635761589404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1.3987166765694248E-3</v>
      </c>
      <c r="E16" s="101">
        <f>(E10-$C$10)/$C$10</f>
        <v>0.24444943766196819</v>
      </c>
      <c r="F16" s="101">
        <f t="shared" ref="F16" si="0">(F10-$C$10)/$C$10</f>
        <v>0.55441362530927796</v>
      </c>
      <c r="G16" s="102">
        <f>(G10-$C$10)/$C$10</f>
        <v>0.98849096103293832</v>
      </c>
      <c r="H16" s="14"/>
    </row>
    <row r="17" spans="1:10" ht="19.5" customHeight="1" x14ac:dyDescent="0.2">
      <c r="B17" s="89" t="s">
        <v>97</v>
      </c>
      <c r="C17" s="107"/>
      <c r="D17" s="104">
        <f>D14/D10</f>
        <v>4.9439714381457132E-2</v>
      </c>
      <c r="E17" s="104">
        <f>E14/E10</f>
        <v>0.24486257054442137</v>
      </c>
      <c r="F17" s="104">
        <f>F14/F10</f>
        <v>0.40193288600143368</v>
      </c>
      <c r="G17" s="105">
        <f>G14/G10</f>
        <v>0.53650544141906631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2874</v>
      </c>
      <c r="G21" s="111"/>
    </row>
    <row r="22" spans="1:10" s="14" customFormat="1" ht="19.5" customHeight="1" x14ac:dyDescent="0.2">
      <c r="B22" s="110" t="s">
        <v>14</v>
      </c>
      <c r="C22" s="122">
        <v>61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1058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1755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419.51000000000022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14874</v>
      </c>
      <c r="D37" s="94">
        <f>SUM(D38:D40)</f>
        <v>15249.204751537816</v>
      </c>
      <c r="E37" s="94">
        <f>SUM(E38:E40)</f>
        <v>15624.081674886891</v>
      </c>
      <c r="F37" s="94">
        <f t="shared" ref="F37:G37" si="1">SUM(F38:F40)</f>
        <v>16010.993547809952</v>
      </c>
      <c r="G37" s="95">
        <f t="shared" si="1"/>
        <v>16442.826221935251</v>
      </c>
      <c r="H37" s="14"/>
    </row>
    <row r="38" spans="1:8" ht="19.5" customHeight="1" x14ac:dyDescent="0.2">
      <c r="A38" s="14"/>
      <c r="B38" s="113" t="s">
        <v>6</v>
      </c>
      <c r="C38" s="96">
        <v>7844.15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7701.2763815364751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7518.7844286636546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7306.5787249838613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7094.3730213040681</v>
      </c>
      <c r="H38" s="14"/>
    </row>
    <row r="39" spans="1:8" ht="19.5" customHeight="1" x14ac:dyDescent="0.2">
      <c r="A39" s="14"/>
      <c r="B39" s="113" t="s">
        <v>104</v>
      </c>
      <c r="C39" s="96">
        <v>6726.65</v>
      </c>
      <c r="D39" s="97">
        <f>C39*((1-'Basis-Annahmen'!F$24)^(D36-C36))*((1+'Basis-Annahmen'!F$9)^(D36-C36))</f>
        <v>7237.5925634316654</v>
      </c>
      <c r="E39" s="97">
        <f>((1-'Basis-Annahmen'!G$24)^5)*((1+'Basis-Annahmen'!G$9)^5)*'Nachfrage &amp; Erzeugung'!D39</f>
        <v>7787.3452779974205</v>
      </c>
      <c r="F39" s="97">
        <f>((1-'Basis-Annahmen'!H$24)^5)*((1+'Basis-Annahmen'!H$9)^5)*'Nachfrage &amp; Erzeugung'!E39</f>
        <v>8378.8560833265929</v>
      </c>
      <c r="G39" s="98">
        <f>((1-'Basis-Annahmen'!I$24)^5)*((1+'Basis-Annahmen'!I$9)^5)*'Nachfrage &amp; Erzeugung'!F39</f>
        <v>9015.2968385078329</v>
      </c>
      <c r="H39" s="14"/>
    </row>
    <row r="40" spans="1:8" ht="19.5" customHeight="1" x14ac:dyDescent="0.2">
      <c r="A40" s="14"/>
      <c r="B40" s="113" t="s">
        <v>7</v>
      </c>
      <c r="C40" s="96">
        <v>302.70999999999998</v>
      </c>
      <c r="D40" s="97">
        <f>C40+(C40*'Basis-Annahmen'!F36)*((1-'Basis-Annahmen'!F24)^(D36-C36))</f>
        <v>310.3358065696749</v>
      </c>
      <c r="E40" s="97">
        <f>D40+(D40*'Basis-Annahmen'!G36)*((1-'Basis-Annahmen'!G24)^5)</f>
        <v>317.95196822581562</v>
      </c>
      <c r="F40" s="97">
        <f>E40+(E40*'Basis-Annahmen'!H36)*((1-'Basis-Annahmen'!H24)^5)</f>
        <v>325.5587394994979</v>
      </c>
      <c r="G40" s="98">
        <f>F40+(F40*'Basis-Annahmen'!I36)*((1-'Basis-Annahmen'!I24)^5)</f>
        <v>333.1563621233509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2.5225544677814727E-2</v>
      </c>
      <c r="E42" s="104">
        <f>(E37-$C$37)/$C$37</f>
        <v>5.0429049004093791E-2</v>
      </c>
      <c r="F42" s="104">
        <f>(F37-$C$37)/$C$37</f>
        <v>7.6441679965708775E-2</v>
      </c>
      <c r="G42" s="105">
        <f>(G37-$C$37)/$C$37</f>
        <v>0.10547439975361375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7313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7561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7.7611051158670077E-2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6.3546828062907221E-2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0.13761717083727917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0.14076911250238261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0.58045583743876095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153000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17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8695.0499999999993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57967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5446.5120000000006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7.5646000000000004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